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ostrom\Box\Research\Active Projects\Arnold Criminal Caseflow\Report\calculator\"/>
    </mc:Choice>
  </mc:AlternateContent>
  <xr:revisionPtr revIDLastSave="0" documentId="8_{E8C3133B-072E-4E70-8440-5ED9575AF00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ontinuance Cost" sheetId="7" r:id="rId1"/>
    <sheet name="Cost Over TIme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9" l="1"/>
  <c r="C16" i="9" l="1"/>
  <c r="C7" i="9" l="1"/>
  <c r="E8" i="9"/>
  <c r="G8" i="9" s="1"/>
  <c r="E9" i="9"/>
  <c r="G9" i="9" s="1"/>
  <c r="E10" i="9"/>
  <c r="G10" i="9" s="1"/>
  <c r="E11" i="9"/>
  <c r="G11" i="9" s="1"/>
  <c r="E12" i="9"/>
  <c r="G12" i="9" s="1"/>
  <c r="D21" i="7"/>
  <c r="E21" i="7" s="1"/>
  <c r="H21" i="7" s="1"/>
  <c r="D20" i="7"/>
  <c r="E20" i="7" s="1"/>
  <c r="D17" i="7"/>
  <c r="E17" i="7" s="1"/>
  <c r="D16" i="7"/>
  <c r="E16" i="7"/>
  <c r="H16" i="7" s="1"/>
  <c r="D13" i="7"/>
  <c r="E13" i="7" s="1"/>
  <c r="D12" i="7"/>
  <c r="E12" i="7" s="1"/>
  <c r="D11" i="7"/>
  <c r="E11" i="7" s="1"/>
  <c r="D10" i="7"/>
  <c r="E10" i="7" s="1"/>
  <c r="F10" i="7" s="1"/>
  <c r="D9" i="7"/>
  <c r="E9" i="7" s="1"/>
  <c r="H9" i="7" s="1"/>
  <c r="E13" i="9" l="1"/>
  <c r="H13" i="7"/>
  <c r="F13" i="7"/>
  <c r="F21" i="7"/>
  <c r="F9" i="7"/>
  <c r="H11" i="7"/>
  <c r="F11" i="7"/>
  <c r="F12" i="7"/>
  <c r="H12" i="7"/>
  <c r="H17" i="7"/>
  <c r="H18" i="7" s="1"/>
  <c r="F17" i="7"/>
  <c r="G13" i="9"/>
  <c r="E36" i="9" s="1"/>
  <c r="F20" i="7"/>
  <c r="H20" i="7"/>
  <c r="H22" i="7" s="1"/>
  <c r="H10" i="7"/>
  <c r="F16" i="7"/>
  <c r="F18" i="7" s="1"/>
  <c r="F22" i="7" l="1"/>
  <c r="H14" i="7"/>
  <c r="F14" i="7"/>
  <c r="K18" i="7"/>
  <c r="E34" i="9" s="1"/>
  <c r="K22" i="7"/>
  <c r="E35" i="9" s="1"/>
  <c r="H24" i="7" l="1"/>
  <c r="C15" i="9" s="1"/>
  <c r="F24" i="7"/>
  <c r="K14" i="7"/>
  <c r="E33" i="9" s="1"/>
  <c r="C14" i="9"/>
  <c r="K24" i="7" l="1"/>
  <c r="C24" i="9"/>
  <c r="C28" i="9"/>
  <c r="C22" i="9"/>
  <c r="C26" i="9"/>
  <c r="C30" i="9"/>
  <c r="E26" i="9" l="1"/>
  <c r="G26" i="9"/>
  <c r="E22" i="9"/>
  <c r="G22" i="9"/>
  <c r="G28" i="9"/>
  <c r="E30" i="9"/>
  <c r="G30" i="9"/>
  <c r="G24" i="9"/>
  <c r="E24" i="9"/>
  <c r="E38" i="9" l="1"/>
</calcChain>
</file>

<file path=xl/sharedStrings.xml><?xml version="1.0" encoding="utf-8"?>
<sst xmlns="http://schemas.openxmlformats.org/spreadsheetml/2006/main" count="79" uniqueCount="72">
  <si>
    <t>Court Costs</t>
  </si>
  <si>
    <t>Prosecutor Costs</t>
  </si>
  <si>
    <t>Pubic Defender Costs</t>
  </si>
  <si>
    <t>Hearing, including</t>
  </si>
  <si>
    <t xml:space="preserve">   Judge time</t>
  </si>
  <si>
    <t xml:space="preserve">   Courtroom clerk time</t>
  </si>
  <si>
    <t xml:space="preserve">   Court reporter time</t>
  </si>
  <si>
    <t xml:space="preserve">   Attorney time</t>
  </si>
  <si>
    <t xml:space="preserve">   </t>
  </si>
  <si>
    <t xml:space="preserve">   Bailiff time</t>
  </si>
  <si>
    <t>Annual Salary</t>
  </si>
  <si>
    <t>Hourly Rate</t>
  </si>
  <si>
    <t xml:space="preserve">Cost per </t>
  </si>
  <si>
    <t>Failed Event</t>
  </si>
  <si>
    <t xml:space="preserve">   Court clerk office time</t>
  </si>
  <si>
    <t xml:space="preserve">   Administrative Asst time</t>
  </si>
  <si>
    <t>Loaded</t>
  </si>
  <si>
    <t>Cost of</t>
  </si>
  <si>
    <t>Non-custody</t>
  </si>
  <si>
    <t>defendant</t>
  </si>
  <si>
    <t>A Simple Model of the Cost of Delay</t>
  </si>
  <si>
    <t xml:space="preserve">   2 continuances</t>
  </si>
  <si>
    <t xml:space="preserve">   3 continuances</t>
  </si>
  <si>
    <t xml:space="preserve">   4 continuances</t>
  </si>
  <si>
    <t xml:space="preserve">   5 continuances</t>
  </si>
  <si>
    <t>A Model of Annual Cost of Delay in 10 States (48 courts)</t>
  </si>
  <si>
    <t>Continuance</t>
  </si>
  <si>
    <t>Prosecutor Cost</t>
  </si>
  <si>
    <t>Court Cost</t>
  </si>
  <si>
    <t>Subtotal</t>
  </si>
  <si>
    <t>Public Defender Cost</t>
  </si>
  <si>
    <t>Table of Assumptions</t>
  </si>
  <si>
    <t>Converted to</t>
  </si>
  <si>
    <t>Based on</t>
  </si>
  <si>
    <t>Rate</t>
  </si>
  <si>
    <t>(duration in minutes)</t>
  </si>
  <si>
    <t>Rescheduled</t>
  </si>
  <si>
    <t>Event</t>
  </si>
  <si>
    <t>Cost per</t>
  </si>
  <si>
    <t>Jail Cost</t>
  </si>
  <si>
    <t>Assumptions</t>
  </si>
  <si>
    <t>Annual Felony Caseload</t>
  </si>
  <si>
    <t>% of cases with 2 continuances</t>
  </si>
  <si>
    <t>% of cases with 3 continuances</t>
  </si>
  <si>
    <t>% of cases with 4 continuances</t>
  </si>
  <si>
    <t>% of cases with 5 continuances</t>
  </si>
  <si>
    <t>Total Cost</t>
  </si>
  <si>
    <t>% of defendants in custody</t>
  </si>
  <si>
    <t>Cost of Rescheduled Event (5 mins)</t>
  </si>
  <si>
    <t>% of defendants not in custody</t>
  </si>
  <si>
    <t>In-custody</t>
  </si>
  <si>
    <t xml:space="preserve">Number of </t>
  </si>
  <si>
    <t>per</t>
  </si>
  <si>
    <t>% of cases with 1 continuance</t>
  </si>
  <si>
    <t>Total</t>
  </si>
  <si>
    <t>Court Events</t>
  </si>
  <si>
    <t>Jail Bed Days</t>
  </si>
  <si>
    <t>Resulting</t>
  </si>
  <si>
    <t>Length of detention after continuance (days)</t>
  </si>
  <si>
    <t>Jail Bed Cost per Day</t>
  </si>
  <si>
    <t xml:space="preserve">   1 continuance of a 5-minute hearing</t>
  </si>
  <si>
    <t>from Filing to Disposition (approx 2 years)</t>
  </si>
  <si>
    <t>Totals</t>
  </si>
  <si>
    <t>Continuances in Felony Cases</t>
  </si>
  <si>
    <t>Cases</t>
  </si>
  <si>
    <t>Assumes</t>
  </si>
  <si>
    <t>1) The cost is the failed event, not the rescheduled event, since that would have taken place anyway.</t>
  </si>
  <si>
    <t xml:space="preserve">2) The cost is in fact more, since multiple other PD, DA, and police may be waiting in the queue and/or required to stay around to see if defendant appears (e.g., 45 minutes before bench warrant issued) in an evolving FTA. </t>
  </si>
  <si>
    <t>3) This assumes the most simple continuance: an atty argues for reschedule a schaedule event (e.g., to allow time for depostition, discovery, etc). So this is minimal cost</t>
  </si>
  <si>
    <t>Total Cost of Delay, 10 States (48 Courts),</t>
  </si>
  <si>
    <t>Cost of Failed Event (5 mins)</t>
  </si>
  <si>
    <t>Days of Detention per Continuance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</si>
</sst>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4"/>
      <color theme="1"/>
      <name val="Calibri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31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8" fontId="0" fillId="0" borderId="0" xfId="0" applyNumberFormat="1"/>
    <xf numFmtId="0" fontId="7" fillId="0" borderId="0" xfId="0" applyFont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6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right"/>
    </xf>
    <xf numFmtId="6" fontId="0" fillId="2" borderId="0" xfId="0" applyNumberForma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9" fontId="3" fillId="2" borderId="0" xfId="10" applyFont="1" applyFill="1" applyBorder="1" applyAlignment="1">
      <alignment horizontal="center"/>
    </xf>
    <xf numFmtId="8" fontId="0" fillId="2" borderId="0" xfId="0" applyNumberFormat="1" applyFill="1"/>
    <xf numFmtId="164" fontId="0" fillId="2" borderId="0" xfId="1" applyNumberFormat="1" applyFont="1" applyFill="1" applyAlignment="1">
      <alignment horizontal="center"/>
    </xf>
    <xf numFmtId="0" fontId="0" fillId="0" borderId="0" xfId="0" applyFill="1"/>
    <xf numFmtId="9" fontId="0" fillId="0" borderId="0" xfId="10" applyFont="1"/>
    <xf numFmtId="6" fontId="6" fillId="2" borderId="0" xfId="0" applyNumberFormat="1" applyFont="1" applyFill="1" applyAlignment="1"/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6" fontId="6" fillId="2" borderId="0" xfId="0" applyNumberFormat="1" applyFont="1" applyFill="1" applyAlignment="1">
      <alignment horizontal="center"/>
    </xf>
    <xf numFmtId="6" fontId="8" fillId="2" borderId="0" xfId="0" applyNumberFormat="1" applyFont="1" applyFill="1" applyAlignment="1">
      <alignment horizontal="center"/>
    </xf>
    <xf numFmtId="6" fontId="3" fillId="2" borderId="0" xfId="0" applyNumberFormat="1" applyFont="1" applyFill="1" applyAlignment="1">
      <alignment horizontal="right"/>
    </xf>
    <xf numFmtId="6" fontId="6" fillId="2" borderId="0" xfId="0" applyNumberFormat="1" applyFont="1" applyFill="1" applyAlignment="1">
      <alignment horizontal="right"/>
    </xf>
    <xf numFmtId="6" fontId="9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3" fontId="0" fillId="0" borderId="0" xfId="0" applyNumberFormat="1"/>
    <xf numFmtId="0" fontId="7" fillId="2" borderId="0" xfId="0" applyFont="1" applyFill="1" applyBorder="1" applyAlignment="1">
      <alignment horizontal="center"/>
    </xf>
    <xf numFmtId="6" fontId="7" fillId="2" borderId="0" xfId="0" applyNumberFormat="1" applyFont="1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6" fontId="7" fillId="2" borderId="0" xfId="0" applyNumberFormat="1" applyFont="1" applyFill="1" applyBorder="1" applyAlignment="1">
      <alignment horizontal="right"/>
    </xf>
    <xf numFmtId="6" fontId="7" fillId="2" borderId="0" xfId="0" applyNumberFormat="1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6" fontId="10" fillId="2" borderId="0" xfId="0" applyNumberFormat="1" applyFont="1" applyFill="1" applyBorder="1" applyAlignment="1">
      <alignment horizontal="right"/>
    </xf>
    <xf numFmtId="6" fontId="10" fillId="2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9" fontId="7" fillId="3" borderId="0" xfId="1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6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6" fontId="11" fillId="2" borderId="0" xfId="0" applyNumberFormat="1" applyFont="1" applyFill="1" applyBorder="1" applyAlignment="1">
      <alignment horizontal="right"/>
    </xf>
    <xf numFmtId="0" fontId="12" fillId="0" borderId="0" xfId="0" applyFont="1"/>
    <xf numFmtId="0" fontId="11" fillId="2" borderId="0" xfId="0" applyFont="1" applyFill="1"/>
    <xf numFmtId="0" fontId="11" fillId="2" borderId="0" xfId="0" applyFont="1" applyFill="1" applyBorder="1"/>
    <xf numFmtId="6" fontId="3" fillId="3" borderId="0" xfId="0" applyNumberFormat="1" applyFont="1" applyFill="1" applyAlignment="1">
      <alignment horizontal="center"/>
    </xf>
    <xf numFmtId="6" fontId="13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6" fontId="6" fillId="4" borderId="0" xfId="0" applyNumberFormat="1" applyFont="1" applyFill="1" applyAlignment="1">
      <alignment horizontal="right"/>
    </xf>
    <xf numFmtId="6" fontId="3" fillId="4" borderId="0" xfId="0" applyNumberFormat="1" applyFont="1" applyFill="1" applyAlignment="1">
      <alignment horizontal="center"/>
    </xf>
    <xf numFmtId="6" fontId="6" fillId="4" borderId="0" xfId="0" applyNumberFormat="1" applyFont="1" applyFill="1" applyAlignment="1">
      <alignment horizontal="center"/>
    </xf>
    <xf numFmtId="6" fontId="0" fillId="3" borderId="0" xfId="0" applyNumberForma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9" fontId="0" fillId="0" borderId="0" xfId="0" applyNumberFormat="1"/>
    <xf numFmtId="0" fontId="15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wrapText="1"/>
    </xf>
  </cellXfs>
  <cellStyles count="23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3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9" builtinId="8" hidden="1"/>
    <cellStyle name="Normal" xfId="0" builtinId="0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workbookViewId="0">
      <selection activeCell="A27" sqref="A27"/>
    </sheetView>
  </sheetViews>
  <sheetFormatPr defaultColWidth="11" defaultRowHeight="15.75"/>
  <cols>
    <col min="1" max="1" width="32.375" customWidth="1"/>
    <col min="2" max="2" width="2.875" customWidth="1"/>
    <col min="3" max="3" width="16.875" style="2" customWidth="1"/>
    <col min="4" max="4" width="14.875" style="2" customWidth="1"/>
    <col min="6" max="6" width="21.375" customWidth="1"/>
    <col min="7" max="7" width="2.875" customWidth="1"/>
    <col min="8" max="8" width="20.875" style="2" customWidth="1"/>
    <col min="9" max="10" width="2.5" style="2" customWidth="1"/>
    <col min="11" max="11" width="14.5" style="2" customWidth="1"/>
  </cols>
  <sheetData>
    <row r="1" spans="1:12" s="67" customFormat="1" ht="26.25">
      <c r="A1" s="68" t="s">
        <v>20</v>
      </c>
      <c r="B1" s="64"/>
      <c r="C1" s="65"/>
      <c r="D1" s="65"/>
      <c r="E1" s="64"/>
      <c r="F1" s="64"/>
      <c r="G1" s="64"/>
      <c r="H1" s="65"/>
      <c r="I1" s="65"/>
      <c r="J1" s="65"/>
      <c r="K1" s="65"/>
    </row>
    <row r="2" spans="1:12" ht="18.75">
      <c r="A2" s="14"/>
      <c r="B2" s="6"/>
      <c r="C2" s="7"/>
      <c r="D2" s="7"/>
      <c r="E2" s="6"/>
      <c r="F2" s="6"/>
      <c r="G2" s="6"/>
      <c r="H2" s="17" t="s">
        <v>38</v>
      </c>
      <c r="I2" s="17"/>
      <c r="J2" s="17"/>
      <c r="K2" s="7"/>
    </row>
    <row r="3" spans="1:12" ht="18.75">
      <c r="A3" s="14" t="s">
        <v>31</v>
      </c>
      <c r="B3" s="6"/>
      <c r="C3" s="7"/>
      <c r="D3" s="7"/>
      <c r="E3" s="6"/>
      <c r="F3" s="17" t="s">
        <v>12</v>
      </c>
      <c r="G3" s="6"/>
      <c r="H3" s="17" t="s">
        <v>36</v>
      </c>
      <c r="I3" s="17"/>
      <c r="J3" s="17"/>
      <c r="K3" s="17" t="s">
        <v>46</v>
      </c>
    </row>
    <row r="4" spans="1:12" s="4" customFormat="1" ht="18.75">
      <c r="A4" s="15"/>
      <c r="B4" s="15"/>
      <c r="C4" s="16"/>
      <c r="D4" s="17" t="s">
        <v>32</v>
      </c>
      <c r="E4" s="17" t="s">
        <v>16</v>
      </c>
      <c r="F4" s="17" t="s">
        <v>13</v>
      </c>
      <c r="G4" s="15"/>
      <c r="H4" s="17" t="s">
        <v>37</v>
      </c>
      <c r="I4" s="17"/>
      <c r="J4" s="17"/>
      <c r="K4" s="17" t="s">
        <v>52</v>
      </c>
    </row>
    <row r="5" spans="1:12" s="4" customFormat="1" ht="18.75">
      <c r="A5" s="15"/>
      <c r="B5" s="15"/>
      <c r="C5" s="31" t="s">
        <v>10</v>
      </c>
      <c r="D5" s="31" t="s">
        <v>11</v>
      </c>
      <c r="E5" s="31" t="s">
        <v>34</v>
      </c>
      <c r="F5" s="32" t="s">
        <v>35</v>
      </c>
      <c r="G5" s="15"/>
      <c r="H5" s="32" t="s">
        <v>35</v>
      </c>
      <c r="I5" s="32"/>
      <c r="J5" s="32"/>
      <c r="K5" s="31" t="s">
        <v>26</v>
      </c>
    </row>
    <row r="6" spans="1:12" s="4" customFormat="1" ht="18.75">
      <c r="A6" s="10" t="s">
        <v>33</v>
      </c>
      <c r="B6" s="15"/>
      <c r="C6" s="17"/>
      <c r="D6" s="72">
        <v>2080</v>
      </c>
      <c r="E6" s="72">
        <v>0.52</v>
      </c>
      <c r="F6" s="72">
        <v>5</v>
      </c>
      <c r="G6" s="15"/>
      <c r="H6" s="72">
        <v>0</v>
      </c>
      <c r="I6" s="17"/>
      <c r="J6" s="17"/>
      <c r="K6" s="16"/>
    </row>
    <row r="7" spans="1:12" ht="18.75">
      <c r="A7" s="14" t="s">
        <v>0</v>
      </c>
      <c r="B7" s="6"/>
      <c r="C7" s="7"/>
      <c r="D7" s="7"/>
      <c r="E7" s="6"/>
      <c r="F7" s="7"/>
      <c r="G7" s="6"/>
      <c r="H7" s="7"/>
      <c r="I7" s="7"/>
      <c r="J7" s="7"/>
      <c r="K7" s="7"/>
    </row>
    <row r="8" spans="1:12">
      <c r="A8" s="6" t="s">
        <v>3</v>
      </c>
      <c r="B8" s="6"/>
      <c r="C8" s="7"/>
      <c r="D8" s="7"/>
      <c r="E8" s="6"/>
      <c r="F8" s="6"/>
      <c r="G8" s="6"/>
      <c r="H8" s="7"/>
      <c r="I8" s="7"/>
      <c r="J8" s="7"/>
      <c r="K8" s="7"/>
    </row>
    <row r="9" spans="1:12">
      <c r="A9" s="6" t="s">
        <v>4</v>
      </c>
      <c r="B9" s="6"/>
      <c r="C9" s="76">
        <v>160000</v>
      </c>
      <c r="D9" s="8">
        <f>C9/$D$6</f>
        <v>76.92307692307692</v>
      </c>
      <c r="E9" s="8">
        <f>(D9*$E$6)+D9</f>
        <v>116.92307692307692</v>
      </c>
      <c r="F9" s="8">
        <f>($F$6/60*E9)</f>
        <v>9.7435897435897427</v>
      </c>
      <c r="G9" s="6"/>
      <c r="H9" s="8">
        <f>($H$6/60*E9)</f>
        <v>0</v>
      </c>
      <c r="I9" s="8"/>
      <c r="J9" s="8"/>
      <c r="K9" s="7"/>
    </row>
    <row r="10" spans="1:12">
      <c r="A10" s="6" t="s">
        <v>5</v>
      </c>
      <c r="B10" s="6"/>
      <c r="C10" s="76">
        <v>48634</v>
      </c>
      <c r="D10" s="8">
        <f t="shared" ref="D10:D13" si="0">C10/$D$6</f>
        <v>23.381730769230771</v>
      </c>
      <c r="E10" s="8">
        <f t="shared" ref="E10:E13" si="1">(D10*$E$6)+D10</f>
        <v>35.540230769230774</v>
      </c>
      <c r="F10" s="8">
        <f t="shared" ref="F10:F13" si="2">($F$6/60*E10)</f>
        <v>2.9616858974358977</v>
      </c>
      <c r="G10" s="6"/>
      <c r="H10" s="8">
        <f>($H$6/60*E10)</f>
        <v>0</v>
      </c>
      <c r="I10" s="8"/>
      <c r="J10" s="8"/>
      <c r="K10" s="7"/>
    </row>
    <row r="11" spans="1:12">
      <c r="A11" s="6" t="s">
        <v>6</v>
      </c>
      <c r="B11" s="6"/>
      <c r="C11" s="76">
        <v>57063</v>
      </c>
      <c r="D11" s="8">
        <f t="shared" si="0"/>
        <v>27.434134615384615</v>
      </c>
      <c r="E11" s="8">
        <f t="shared" si="1"/>
        <v>41.699884615384619</v>
      </c>
      <c r="F11" s="8">
        <f t="shared" si="2"/>
        <v>3.4749903846153849</v>
      </c>
      <c r="G11" s="6"/>
      <c r="H11" s="8">
        <f t="shared" ref="H11:H13" si="3">($H$6/60*E11)</f>
        <v>0</v>
      </c>
      <c r="I11" s="8"/>
      <c r="J11" s="8"/>
      <c r="K11" s="7"/>
    </row>
    <row r="12" spans="1:12">
      <c r="A12" s="6" t="s">
        <v>9</v>
      </c>
      <c r="B12" s="6"/>
      <c r="C12" s="76">
        <v>48709</v>
      </c>
      <c r="D12" s="8">
        <f t="shared" si="0"/>
        <v>23.417788461538461</v>
      </c>
      <c r="E12" s="8">
        <f t="shared" si="1"/>
        <v>35.595038461538465</v>
      </c>
      <c r="F12" s="8">
        <f t="shared" si="2"/>
        <v>2.9662532051282051</v>
      </c>
      <c r="G12" s="6"/>
      <c r="H12" s="8">
        <f t="shared" si="3"/>
        <v>0</v>
      </c>
      <c r="I12" s="8"/>
      <c r="J12" s="8"/>
      <c r="K12" s="7"/>
    </row>
    <row r="13" spans="1:12">
      <c r="A13" s="6" t="s">
        <v>14</v>
      </c>
      <c r="B13" s="6"/>
      <c r="C13" s="76">
        <v>45108</v>
      </c>
      <c r="D13" s="8">
        <f t="shared" si="0"/>
        <v>21.686538461538461</v>
      </c>
      <c r="E13" s="8">
        <f t="shared" si="1"/>
        <v>32.963538461538462</v>
      </c>
      <c r="F13" s="34">
        <f t="shared" si="2"/>
        <v>2.7469615384615382</v>
      </c>
      <c r="G13" s="6"/>
      <c r="H13" s="34">
        <f t="shared" si="3"/>
        <v>0</v>
      </c>
      <c r="I13" s="34"/>
      <c r="J13" s="34"/>
      <c r="K13" s="7"/>
    </row>
    <row r="14" spans="1:12">
      <c r="A14" s="12" t="s">
        <v>29</v>
      </c>
      <c r="B14" s="6"/>
      <c r="C14" s="8"/>
      <c r="D14" s="8"/>
      <c r="E14" s="8"/>
      <c r="F14" s="35">
        <f>SUM(F9:F13)</f>
        <v>21.893480769230766</v>
      </c>
      <c r="G14" s="6"/>
      <c r="H14" s="35">
        <f>SUM(H9:H13)</f>
        <v>0</v>
      </c>
      <c r="I14" s="35"/>
      <c r="J14" s="35"/>
      <c r="K14" s="74">
        <f>F14+H14</f>
        <v>21.893480769230766</v>
      </c>
    </row>
    <row r="15" spans="1:12" ht="18.75">
      <c r="A15" s="14" t="s">
        <v>1</v>
      </c>
      <c r="B15" s="6"/>
      <c r="C15" s="26"/>
      <c r="D15" s="7"/>
      <c r="E15" s="8"/>
      <c r="F15" s="6"/>
      <c r="G15" s="6"/>
      <c r="H15" s="7"/>
      <c r="I15" s="7"/>
      <c r="J15" s="7"/>
      <c r="K15" s="7"/>
      <c r="L15" s="28"/>
    </row>
    <row r="16" spans="1:12">
      <c r="A16" s="6" t="s">
        <v>7</v>
      </c>
      <c r="B16" s="6"/>
      <c r="C16" s="76">
        <v>74482</v>
      </c>
      <c r="D16" s="8">
        <f t="shared" ref="D16:D17" si="4">C16/$D$6</f>
        <v>35.808653846153845</v>
      </c>
      <c r="E16" s="8">
        <f t="shared" ref="E16:E17" si="5">(D16*$E$6)+D16</f>
        <v>54.429153846153845</v>
      </c>
      <c r="F16" s="8">
        <f t="shared" ref="F16:F17" si="6">($F$6/60*E16)</f>
        <v>4.5357628205128204</v>
      </c>
      <c r="G16" s="6"/>
      <c r="H16" s="8">
        <f t="shared" ref="H16:H17" si="7">($H$6/60*E16)</f>
        <v>0</v>
      </c>
      <c r="I16" s="8"/>
      <c r="J16" s="8"/>
      <c r="K16" s="7"/>
    </row>
    <row r="17" spans="1:12">
      <c r="A17" s="6" t="s">
        <v>15</v>
      </c>
      <c r="B17" s="6"/>
      <c r="C17" s="76">
        <v>38000</v>
      </c>
      <c r="D17" s="8">
        <f t="shared" si="4"/>
        <v>18.26923076923077</v>
      </c>
      <c r="E17" s="8">
        <f t="shared" si="5"/>
        <v>27.76923076923077</v>
      </c>
      <c r="F17" s="34">
        <f t="shared" si="6"/>
        <v>2.3141025641025639</v>
      </c>
      <c r="G17" s="6"/>
      <c r="H17" s="34">
        <f t="shared" si="7"/>
        <v>0</v>
      </c>
      <c r="I17" s="34"/>
      <c r="J17" s="34"/>
      <c r="K17" s="7"/>
    </row>
    <row r="18" spans="1:12">
      <c r="A18" s="12" t="s">
        <v>29</v>
      </c>
      <c r="B18" s="6"/>
      <c r="C18" s="8"/>
      <c r="D18" s="8"/>
      <c r="E18" s="8"/>
      <c r="F18" s="35">
        <f>SUM(F16:F17)</f>
        <v>6.8498653846153843</v>
      </c>
      <c r="G18" s="6"/>
      <c r="H18" s="35">
        <f>SUM(H16:H17)</f>
        <v>0</v>
      </c>
      <c r="I18" s="35"/>
      <c r="J18" s="35"/>
      <c r="K18" s="74">
        <f>F18+H18</f>
        <v>6.8498653846153843</v>
      </c>
    </row>
    <row r="19" spans="1:12" ht="18.75">
      <c r="A19" s="14" t="s">
        <v>2</v>
      </c>
      <c r="B19" s="6"/>
      <c r="C19" s="26"/>
      <c r="D19" s="7"/>
      <c r="E19" s="8"/>
      <c r="F19" s="6"/>
      <c r="G19" s="6"/>
      <c r="H19" s="7"/>
      <c r="I19" s="7"/>
      <c r="J19" s="7"/>
      <c r="K19" s="7"/>
      <c r="L19" s="28"/>
    </row>
    <row r="20" spans="1:12">
      <c r="A20" s="6" t="s">
        <v>7</v>
      </c>
      <c r="B20" s="6"/>
      <c r="C20" s="76">
        <v>69626</v>
      </c>
      <c r="D20" s="8">
        <f t="shared" ref="D20:D21" si="8">C20/$D$6</f>
        <v>33.474038461538463</v>
      </c>
      <c r="E20" s="8">
        <f t="shared" ref="E20:E21" si="9">(D20*$E$6)+D20</f>
        <v>50.880538461538464</v>
      </c>
      <c r="F20" s="8">
        <f t="shared" ref="F20:F21" si="10">($F$6/60*E20)</f>
        <v>4.240044871794872</v>
      </c>
      <c r="G20" s="6"/>
      <c r="H20" s="8">
        <f t="shared" ref="H20:H21" si="11">($H$6/60*E20)</f>
        <v>0</v>
      </c>
      <c r="I20" s="8"/>
      <c r="J20" s="8"/>
      <c r="K20" s="7"/>
    </row>
    <row r="21" spans="1:12">
      <c r="A21" s="6" t="s">
        <v>15</v>
      </c>
      <c r="B21" s="6"/>
      <c r="C21" s="76">
        <v>38000</v>
      </c>
      <c r="D21" s="8">
        <f t="shared" si="8"/>
        <v>18.26923076923077</v>
      </c>
      <c r="E21" s="8">
        <f t="shared" si="9"/>
        <v>27.76923076923077</v>
      </c>
      <c r="F21" s="34">
        <f t="shared" si="10"/>
        <v>2.3141025641025639</v>
      </c>
      <c r="G21" s="6"/>
      <c r="H21" s="34">
        <f t="shared" si="11"/>
        <v>0</v>
      </c>
      <c r="I21" s="34"/>
      <c r="J21" s="34"/>
      <c r="K21" s="7"/>
    </row>
    <row r="22" spans="1:12">
      <c r="A22" s="12" t="s">
        <v>29</v>
      </c>
      <c r="B22" s="6"/>
      <c r="C22" s="7"/>
      <c r="D22" s="8"/>
      <c r="E22" s="25"/>
      <c r="F22" s="37">
        <f>SUM(F20:F21)</f>
        <v>6.5541474358974359</v>
      </c>
      <c r="G22" s="6"/>
      <c r="H22" s="71">
        <f>SUM(H20:H21)</f>
        <v>0</v>
      </c>
      <c r="I22" s="35"/>
      <c r="J22" s="35"/>
      <c r="K22" s="74">
        <f>F22+H22</f>
        <v>6.5541474358974359</v>
      </c>
    </row>
    <row r="23" spans="1:12">
      <c r="A23" s="12"/>
      <c r="B23" s="6"/>
      <c r="C23" s="7"/>
      <c r="D23" s="8"/>
      <c r="E23" s="11"/>
      <c r="F23" s="11"/>
      <c r="G23" s="6"/>
      <c r="H23" s="7"/>
      <c r="I23" s="7"/>
      <c r="J23" s="7"/>
      <c r="K23" s="7"/>
    </row>
    <row r="24" spans="1:12" s="4" customFormat="1" ht="18.75">
      <c r="A24" s="10" t="s">
        <v>62</v>
      </c>
      <c r="B24" s="15"/>
      <c r="C24" s="16"/>
      <c r="D24" s="16"/>
      <c r="E24" s="15"/>
      <c r="F24" s="73">
        <f>F14+F18+F22</f>
        <v>35.297493589743588</v>
      </c>
      <c r="G24" s="15"/>
      <c r="H24" s="73">
        <f>H14+H18+H22</f>
        <v>0</v>
      </c>
      <c r="I24" s="36"/>
      <c r="J24" s="36"/>
      <c r="K24" s="75">
        <f>F24+H24</f>
        <v>35.297493589743588</v>
      </c>
    </row>
    <row r="25" spans="1:12">
      <c r="A25" s="5" t="s">
        <v>59</v>
      </c>
      <c r="B25" s="6"/>
      <c r="C25" s="70">
        <v>108</v>
      </c>
      <c r="D25" s="7"/>
      <c r="E25" s="6"/>
      <c r="F25" s="6"/>
      <c r="G25" s="6"/>
      <c r="H25" s="7"/>
      <c r="I25" s="7"/>
      <c r="J25" s="7"/>
      <c r="K25" s="9"/>
    </row>
    <row r="26" spans="1:12" ht="18.75">
      <c r="A26" s="79" t="s">
        <v>71</v>
      </c>
      <c r="B26" s="15"/>
      <c r="C26" s="17">
        <v>30</v>
      </c>
      <c r="D26" s="16"/>
      <c r="E26" s="15"/>
      <c r="F26" s="15"/>
      <c r="G26" s="15"/>
      <c r="H26" s="33"/>
      <c r="I26" s="33"/>
      <c r="J26" s="33"/>
      <c r="K26" s="7"/>
    </row>
    <row r="27" spans="1:12">
      <c r="A27" s="1"/>
    </row>
    <row r="28" spans="1:12">
      <c r="A28" s="1"/>
    </row>
    <row r="29" spans="1:12">
      <c r="A29" t="s">
        <v>65</v>
      </c>
    </row>
    <row r="30" spans="1:12">
      <c r="A30" t="s">
        <v>66</v>
      </c>
    </row>
    <row r="31" spans="1:12">
      <c r="A31" t="s">
        <v>67</v>
      </c>
    </row>
    <row r="32" spans="1:12">
      <c r="A32" t="s">
        <v>68</v>
      </c>
    </row>
    <row r="35" spans="1:1">
      <c r="A35" t="s">
        <v>8</v>
      </c>
    </row>
  </sheetData>
  <pageMargins left="0.7" right="0.7" top="0.75" bottom="0.75" header="0.3" footer="0.3"/>
  <pageSetup scale="7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tabSelected="1" topLeftCell="A11" workbookViewId="0">
      <selection activeCell="G35" sqref="G35"/>
    </sheetView>
  </sheetViews>
  <sheetFormatPr defaultColWidth="11" defaultRowHeight="15.75"/>
  <cols>
    <col min="1" max="1" width="45.125" customWidth="1"/>
    <col min="3" max="3" width="18.875" style="2" customWidth="1"/>
    <col min="4" max="4" width="5.875" style="2" customWidth="1"/>
    <col min="5" max="5" width="23.25" customWidth="1"/>
    <col min="6" max="6" width="5.875" customWidth="1"/>
    <col min="7" max="7" width="16.875" customWidth="1"/>
    <col min="10" max="10" width="13.375" bestFit="1" customWidth="1"/>
  </cols>
  <sheetData>
    <row r="1" spans="1:10" ht="26.25">
      <c r="A1" s="69" t="s">
        <v>25</v>
      </c>
      <c r="B1" s="19"/>
      <c r="C1" s="40"/>
      <c r="D1" s="40"/>
      <c r="E1" s="80"/>
      <c r="F1" s="80"/>
      <c r="G1" s="80"/>
    </row>
    <row r="2" spans="1:10" ht="26.25">
      <c r="A2" s="69" t="s">
        <v>63</v>
      </c>
      <c r="B2" s="19"/>
      <c r="C2" s="40"/>
      <c r="D2" s="40"/>
      <c r="E2" s="80"/>
      <c r="F2" s="80"/>
      <c r="G2" s="80"/>
    </row>
    <row r="3" spans="1:10" ht="18.75">
      <c r="A3" s="18"/>
      <c r="B3" s="19"/>
      <c r="C3" s="40"/>
      <c r="D3" s="40"/>
      <c r="E3" s="30"/>
      <c r="F3" s="30"/>
      <c r="G3" s="30" t="s">
        <v>57</v>
      </c>
    </row>
    <row r="4" spans="1:10" ht="18.75">
      <c r="A4" s="18" t="s">
        <v>40</v>
      </c>
      <c r="B4" s="19"/>
      <c r="C4" s="40"/>
      <c r="D4" s="40"/>
      <c r="E4" s="30" t="s">
        <v>51</v>
      </c>
      <c r="F4" s="30"/>
      <c r="G4" s="30" t="s">
        <v>51</v>
      </c>
    </row>
    <row r="5" spans="1:10" ht="18.75">
      <c r="A5" s="38" t="s">
        <v>41</v>
      </c>
      <c r="B5" s="19"/>
      <c r="C5" s="53">
        <v>161765</v>
      </c>
      <c r="D5" s="40"/>
      <c r="E5" s="30" t="s">
        <v>64</v>
      </c>
      <c r="F5" s="30"/>
      <c r="G5" s="30" t="s">
        <v>56</v>
      </c>
    </row>
    <row r="6" spans="1:10" ht="18.75">
      <c r="A6" s="38" t="s">
        <v>47</v>
      </c>
      <c r="B6" s="19"/>
      <c r="C6" s="54">
        <v>0.4</v>
      </c>
      <c r="D6" s="40"/>
      <c r="E6" s="30"/>
      <c r="F6" s="30"/>
      <c r="G6" s="30"/>
      <c r="J6" s="78"/>
    </row>
    <row r="7" spans="1:10" ht="18.75">
      <c r="A7" s="38" t="s">
        <v>49</v>
      </c>
      <c r="B7" s="19"/>
      <c r="C7" s="54">
        <f>1-C6</f>
        <v>0.6</v>
      </c>
      <c r="D7" s="40"/>
      <c r="E7" s="30"/>
      <c r="F7" s="30"/>
      <c r="G7" s="30"/>
    </row>
    <row r="8" spans="1:10" ht="18.75">
      <c r="A8" s="38" t="s">
        <v>53</v>
      </c>
      <c r="B8" s="19"/>
      <c r="C8" s="54">
        <v>0.21</v>
      </c>
      <c r="D8" s="40"/>
      <c r="E8" s="55">
        <f>C8*$C$5</f>
        <v>33970.65</v>
      </c>
      <c r="F8" s="44"/>
      <c r="G8" s="56">
        <f>E8*$C$6*30</f>
        <v>407647.80000000005</v>
      </c>
    </row>
    <row r="9" spans="1:10" ht="18.75">
      <c r="A9" s="38" t="s">
        <v>42</v>
      </c>
      <c r="B9" s="19"/>
      <c r="C9" s="54">
        <v>0.16</v>
      </c>
      <c r="D9" s="40"/>
      <c r="E9" s="55">
        <f>C9*$C$5</f>
        <v>25882.400000000001</v>
      </c>
      <c r="F9" s="20"/>
      <c r="G9" s="56">
        <f>E9*$C$6*60</f>
        <v>621177.60000000009</v>
      </c>
    </row>
    <row r="10" spans="1:10" ht="18.75">
      <c r="A10" s="38" t="s">
        <v>43</v>
      </c>
      <c r="B10" s="21"/>
      <c r="C10" s="54">
        <v>0.11</v>
      </c>
      <c r="D10" s="22"/>
      <c r="E10" s="55">
        <f>C10*$C$5</f>
        <v>17794.150000000001</v>
      </c>
      <c r="F10" s="21"/>
      <c r="G10" s="57">
        <f>E10*C6*90</f>
        <v>640589.4</v>
      </c>
    </row>
    <row r="11" spans="1:10" ht="18.75">
      <c r="A11" s="38" t="s">
        <v>44</v>
      </c>
      <c r="B11" s="21"/>
      <c r="C11" s="54">
        <v>0.08</v>
      </c>
      <c r="D11" s="22"/>
      <c r="E11" s="55">
        <f>C11*$C$5</f>
        <v>12941.2</v>
      </c>
      <c r="F11" s="21"/>
      <c r="G11" s="57">
        <f>E11*C6*120</f>
        <v>621177.60000000009</v>
      </c>
    </row>
    <row r="12" spans="1:10" ht="18.75">
      <c r="A12" s="38" t="s">
        <v>45</v>
      </c>
      <c r="B12" s="21"/>
      <c r="C12" s="54">
        <v>0.05</v>
      </c>
      <c r="D12" s="22"/>
      <c r="E12" s="58">
        <f>C12*$C$5</f>
        <v>8088.25</v>
      </c>
      <c r="F12" s="21"/>
      <c r="G12" s="58">
        <f>E12*C6*150</f>
        <v>485295</v>
      </c>
    </row>
    <row r="13" spans="1:10">
      <c r="A13" s="6"/>
      <c r="B13" s="6"/>
      <c r="C13" s="7"/>
      <c r="D13" s="60" t="s">
        <v>54</v>
      </c>
      <c r="E13" s="59">
        <f>SUM(E8:E12)</f>
        <v>98676.650000000009</v>
      </c>
      <c r="F13" s="21"/>
      <c r="G13" s="59">
        <f>SUM(G8:G12)</f>
        <v>2775887.4000000004</v>
      </c>
    </row>
    <row r="14" spans="1:10" ht="18.75">
      <c r="A14" s="18" t="s">
        <v>70</v>
      </c>
      <c r="B14" s="21"/>
      <c r="C14" s="61">
        <f>'Continuance Cost'!F24</f>
        <v>35.297493589743588</v>
      </c>
      <c r="D14" s="22"/>
      <c r="E14" s="6"/>
      <c r="F14" s="21"/>
      <c r="G14" s="22"/>
      <c r="J14" s="39"/>
    </row>
    <row r="15" spans="1:10" ht="18.75">
      <c r="A15" s="18" t="s">
        <v>48</v>
      </c>
      <c r="B15" s="21"/>
      <c r="C15" s="61">
        <f>'Continuance Cost'!H24</f>
        <v>0</v>
      </c>
      <c r="D15" s="22"/>
      <c r="E15" s="22"/>
      <c r="F15" s="21"/>
      <c r="G15" s="22"/>
      <c r="J15" s="39"/>
    </row>
    <row r="16" spans="1:10" ht="18.75">
      <c r="A16" s="18" t="s">
        <v>58</v>
      </c>
      <c r="B16" s="21"/>
      <c r="C16" s="62">
        <f>'Continuance Cost'!C26</f>
        <v>30</v>
      </c>
      <c r="D16" s="22"/>
      <c r="E16" s="22"/>
      <c r="F16" s="21"/>
      <c r="G16" s="22"/>
    </row>
    <row r="17" spans="1:10">
      <c r="A17" s="21"/>
      <c r="B17" s="21"/>
      <c r="C17" s="22"/>
      <c r="D17" s="22"/>
      <c r="E17" s="22"/>
      <c r="F17" s="21"/>
      <c r="G17" s="22"/>
    </row>
    <row r="18" spans="1:10">
      <c r="A18" s="21"/>
      <c r="B18" s="21"/>
      <c r="C18" s="22"/>
      <c r="D18" s="22"/>
      <c r="E18" s="22"/>
      <c r="F18" s="21"/>
      <c r="G18" s="22"/>
    </row>
    <row r="19" spans="1:10" ht="18.75">
      <c r="A19" s="19"/>
      <c r="B19" s="19"/>
      <c r="C19" s="20" t="s">
        <v>17</v>
      </c>
      <c r="D19" s="40"/>
      <c r="E19" s="20" t="s">
        <v>18</v>
      </c>
      <c r="F19" s="20"/>
      <c r="G19" s="20" t="s">
        <v>50</v>
      </c>
    </row>
    <row r="20" spans="1:10" ht="18.75">
      <c r="A20" s="18"/>
      <c r="B20" s="19"/>
      <c r="C20" s="77" t="s">
        <v>55</v>
      </c>
      <c r="D20" s="40"/>
      <c r="E20" s="31" t="s">
        <v>19</v>
      </c>
      <c r="F20" s="20"/>
      <c r="G20" s="31" t="s">
        <v>19</v>
      </c>
    </row>
    <row r="21" spans="1:10" ht="18.75">
      <c r="A21" s="19"/>
      <c r="B21" s="21"/>
      <c r="C21" s="23"/>
      <c r="D21" s="22"/>
      <c r="E21" s="24"/>
      <c r="F21" s="24"/>
      <c r="G21" s="24"/>
    </row>
    <row r="22" spans="1:10" ht="18.75">
      <c r="A22" s="19" t="s">
        <v>60</v>
      </c>
      <c r="B22" s="21"/>
      <c r="C22" s="42">
        <f>C14+C15</f>
        <v>35.297493589743588</v>
      </c>
      <c r="D22" s="22"/>
      <c r="E22" s="45">
        <f>C5*C7*C8*C22</f>
        <v>719447.28036865382</v>
      </c>
      <c r="F22" s="46"/>
      <c r="G22" s="41">
        <f>C5*C6*C8*C22+(C5*C6*C8*(30*'Continuance Cost'!C25))</f>
        <v>44505593.920245767</v>
      </c>
      <c r="J22" s="3"/>
    </row>
    <row r="23" spans="1:10" ht="18.75">
      <c r="A23" s="13"/>
      <c r="B23" s="6"/>
      <c r="C23" s="8"/>
      <c r="D23" s="7"/>
      <c r="E23" s="45"/>
      <c r="F23" s="47"/>
      <c r="G23" s="48"/>
    </row>
    <row r="24" spans="1:10" ht="18.75">
      <c r="A24" s="19" t="s">
        <v>21</v>
      </c>
      <c r="B24" s="21"/>
      <c r="C24" s="42">
        <f>2*(C14+C15)</f>
        <v>70.594987179487177</v>
      </c>
      <c r="D24" s="22"/>
      <c r="E24" s="45">
        <f>C5*C7*C9*C24</f>
        <v>1096300.6177046155</v>
      </c>
      <c r="F24" s="49"/>
      <c r="G24" s="41">
        <f>C5*C6*C9*C24+(C5*C6*C9*(60*'Continuance Cost'!C25))</f>
        <v>67818047.87846975</v>
      </c>
    </row>
    <row r="25" spans="1:10" ht="18.75">
      <c r="A25" s="21"/>
      <c r="B25" s="21"/>
      <c r="C25" s="43"/>
      <c r="D25" s="22"/>
      <c r="E25" s="41"/>
      <c r="F25" s="49"/>
      <c r="G25" s="50"/>
    </row>
    <row r="26" spans="1:10" ht="18.75">
      <c r="A26" s="19" t="s">
        <v>22</v>
      </c>
      <c r="B26" s="6"/>
      <c r="C26" s="42">
        <f>3*(C14+C15)</f>
        <v>105.89248076923076</v>
      </c>
      <c r="D26" s="7"/>
      <c r="E26" s="45">
        <f>C5*C7*C10*C26</f>
        <v>1130560.0120078844</v>
      </c>
      <c r="F26" s="47"/>
      <c r="G26" s="41">
        <f>C5*C6*C10*C26+(C5*C6*C10*(90*'Continuance Cost'!C25))</f>
        <v>69937361.874671921</v>
      </c>
    </row>
    <row r="27" spans="1:10" ht="18.75">
      <c r="A27" s="6"/>
      <c r="B27" s="6"/>
      <c r="C27" s="43"/>
      <c r="D27" s="7"/>
      <c r="E27" s="41"/>
      <c r="F27" s="47"/>
      <c r="G27" s="48"/>
    </row>
    <row r="28" spans="1:10" ht="18.75">
      <c r="A28" s="19" t="s">
        <v>23</v>
      </c>
      <c r="B28" s="6"/>
      <c r="C28" s="42">
        <f>4*(C14+C15)</f>
        <v>141.18997435897435</v>
      </c>
      <c r="D28" s="7"/>
      <c r="E28" s="45">
        <f>C5*C7*C11*C28</f>
        <v>1096300.6177046155</v>
      </c>
      <c r="F28" s="47"/>
      <c r="G28" s="41">
        <f>C5*C6*C11*C28+(C5*C6*C11*(120*'Continuance Cost'!C25))</f>
        <v>67818047.87846975</v>
      </c>
      <c r="H28" s="27"/>
      <c r="I28" s="27"/>
    </row>
    <row r="29" spans="1:10" ht="18.75">
      <c r="A29" s="6"/>
      <c r="B29" s="6"/>
      <c r="C29" s="43"/>
      <c r="D29" s="7"/>
      <c r="E29" s="41"/>
      <c r="F29" s="47"/>
      <c r="G29" s="48"/>
      <c r="H29" s="27"/>
      <c r="I29" s="27"/>
    </row>
    <row r="30" spans="1:10" ht="18.75">
      <c r="A30" s="19" t="s">
        <v>24</v>
      </c>
      <c r="B30" s="6"/>
      <c r="C30" s="42">
        <f>5*(C14+C15)</f>
        <v>176.48746794871795</v>
      </c>
      <c r="D30" s="7"/>
      <c r="E30" s="51">
        <f>C5*C7*C12*C30</f>
        <v>856484.8575817307</v>
      </c>
      <c r="F30" s="47"/>
      <c r="G30" s="52">
        <f>C5*C6*C12*C30+(C5*C6*C12*(150*'Continuance Cost'!C25))</f>
        <v>52982849.905054487</v>
      </c>
    </row>
    <row r="31" spans="1:10">
      <c r="A31" s="6"/>
      <c r="B31" s="6"/>
      <c r="C31" s="7"/>
      <c r="D31" s="7"/>
      <c r="E31" s="48"/>
      <c r="F31" s="47"/>
      <c r="G31" s="48"/>
    </row>
    <row r="32" spans="1:10" ht="18.75">
      <c r="A32" s="14"/>
      <c r="B32" s="6"/>
      <c r="C32" s="7"/>
      <c r="D32" s="7"/>
      <c r="E32" s="29"/>
      <c r="F32" s="6"/>
      <c r="G32" s="33"/>
    </row>
    <row r="33" spans="1:7" ht="18.75">
      <c r="A33" s="14" t="s">
        <v>28</v>
      </c>
      <c r="B33" s="6"/>
      <c r="C33" s="7"/>
      <c r="D33" s="7"/>
      <c r="E33" s="29">
        <f>($E$8*'Continuance Cost'!K14)+($E$9*'Continuance Cost'!K14*2)+($E$10*'Continuance Cost'!K14*3)+(E$11*'Continuance Cost'!K14*4)+($E$12*'Continuance Cost'!K14*5)</f>
        <v>5064486.4507874995</v>
      </c>
      <c r="F33" s="6"/>
      <c r="G33" s="33"/>
    </row>
    <row r="34" spans="1:7" ht="18.75">
      <c r="A34" s="14" t="s">
        <v>27</v>
      </c>
      <c r="B34" s="6"/>
      <c r="C34" s="7"/>
      <c r="D34" s="7"/>
      <c r="E34" s="29">
        <f>($E$8*'Continuance Cost'!K18)+($E$9*'Continuance Cost'!K18*2)+($E$10*'Continuance Cost'!K18*3)+(E$11*'Continuance Cost'!K18*4)+($E$12*'Continuance Cost'!K18*5)</f>
        <v>1584537.9177375</v>
      </c>
      <c r="F34" s="6"/>
      <c r="G34" s="33"/>
    </row>
    <row r="35" spans="1:7" ht="18.75">
      <c r="A35" s="14" t="s">
        <v>30</v>
      </c>
      <c r="B35" s="6"/>
      <c r="C35" s="7"/>
      <c r="D35" s="7"/>
      <c r="E35" s="29">
        <f>($E$8*'Continuance Cost'!K22)+($E$9*'Continuance Cost'!K22*2)+($E$10*'Continuance Cost'!K22*3)+(E$11*'Continuance Cost'!K22*4)+($E$12*'Continuance Cost'!K22*5)</f>
        <v>1516131.2737541667</v>
      </c>
      <c r="F35" s="6"/>
      <c r="G35" s="33"/>
    </row>
    <row r="36" spans="1:7" ht="18.75">
      <c r="A36" s="14" t="s">
        <v>39</v>
      </c>
      <c r="B36" s="6"/>
      <c r="C36" s="7"/>
      <c r="D36" s="7"/>
      <c r="E36" s="29">
        <f>G13*'Continuance Cost'!C25</f>
        <v>299795839.20000005</v>
      </c>
      <c r="F36" s="6"/>
      <c r="G36" s="33"/>
    </row>
    <row r="37" spans="1:7" ht="18.75">
      <c r="A37" s="14"/>
      <c r="B37" s="6"/>
      <c r="C37" s="7"/>
      <c r="D37" s="7"/>
      <c r="E37" s="29"/>
      <c r="F37" s="6"/>
      <c r="G37" s="33"/>
    </row>
    <row r="38" spans="1:7" s="67" customFormat="1" ht="26.25">
      <c r="A38" s="63" t="s">
        <v>69</v>
      </c>
      <c r="B38" s="64"/>
      <c r="C38" s="65"/>
      <c r="D38" s="65"/>
      <c r="E38" s="66">
        <f>E22+E24+E26+E28+E30+G22+G24+G26+G28+G30</f>
        <v>307960994.8422792</v>
      </c>
      <c r="F38" s="64"/>
      <c r="G38" s="65"/>
    </row>
    <row r="39" spans="1:7" ht="26.25">
      <c r="A39" s="68" t="s">
        <v>61</v>
      </c>
      <c r="B39" s="6"/>
      <c r="C39" s="7"/>
      <c r="D39" s="7"/>
      <c r="E39" s="6"/>
      <c r="F39" s="6"/>
      <c r="G39" s="6"/>
    </row>
    <row r="40" spans="1:7">
      <c r="E40" s="3"/>
    </row>
    <row r="43" spans="1:7">
      <c r="A43" s="27"/>
    </row>
  </sheetData>
  <mergeCells count="1">
    <mergeCell ref="E1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Continuance Cost</vt:lpstr>
      <vt:lpstr>Cost Over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Ostrom, Brian</cp:lastModifiedBy>
  <cp:lastPrinted>2019-10-10T13:15:39Z</cp:lastPrinted>
  <dcterms:created xsi:type="dcterms:W3CDTF">2019-09-19T17:29:53Z</dcterms:created>
  <dcterms:modified xsi:type="dcterms:W3CDTF">2020-08-17T13:31:37Z</dcterms:modified>
</cp:coreProperties>
</file>